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sites/Kommunikationsplattf/Fachseite/E2E_Entstehungsakten/I.xx.02 AA Bauphasenplanung/Version 1.0/AA Bauphasen- und Bauzustandsplanung Veröffentlichung/"/>
    </mc:Choice>
  </mc:AlternateContent>
  <xr:revisionPtr revIDLastSave="12" documentId="8_{1455A80C-F8F5-425F-9B8D-D2B74A6B11A6}" xr6:coauthVersionLast="46" xr6:coauthVersionMax="46" xr10:uidLastSave="{12FF694A-9CBB-487E-977A-A56B9517400D}"/>
  <workbookProtection lockStructure="1"/>
  <bookViews>
    <workbookView xWindow="-120" yWindow="-120" windowWidth="29040" windowHeight="15840" xr2:uid="{00000000-000D-0000-FFFF-FFFF00000000}"/>
  </bookViews>
  <sheets>
    <sheet name="Tabelle1" sheetId="1" r:id="rId1"/>
  </sheets>
  <definedNames>
    <definedName name="_xlnm.Print_Area" localSheetId="0">Tabelle1!$A$1:$E$74</definedName>
    <definedName name="Feiertage">#REF!</definedName>
    <definedName name="Gültige_Einträge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1" l="1"/>
  <c r="C15" i="1"/>
  <c r="C5" i="1"/>
  <c r="C9" i="1"/>
  <c r="C10" i="1"/>
  <c r="C13" i="1"/>
  <c r="C12" i="1"/>
  <c r="C19" i="1"/>
  <c r="C16" i="1"/>
  <c r="C18" i="1"/>
  <c r="C69" i="1"/>
  <c r="C68" i="1"/>
  <c r="C62" i="1"/>
  <c r="C63" i="1"/>
  <c r="C64" i="1"/>
  <c r="C65" i="1"/>
  <c r="C59" i="1"/>
  <c r="C60" i="1"/>
  <c r="C61" i="1"/>
  <c r="C58" i="1"/>
  <c r="C67" i="1"/>
  <c r="C54" i="1"/>
  <c r="C55" i="1"/>
  <c r="C56" i="1"/>
  <c r="C57" i="1"/>
  <c r="C46" i="1"/>
  <c r="C47" i="1"/>
  <c r="C48" i="1"/>
  <c r="C49" i="1"/>
  <c r="C38" i="1"/>
  <c r="C39" i="1"/>
  <c r="C40" i="1"/>
  <c r="C41" i="1"/>
  <c r="C66" i="1"/>
  <c r="C51" i="1"/>
  <c r="C52" i="1"/>
  <c r="C53" i="1"/>
  <c r="C50" i="1"/>
  <c r="C74" i="1"/>
  <c r="C70" i="1"/>
  <c r="C72" i="1"/>
  <c r="C71" i="1"/>
  <c r="C73" i="1"/>
  <c r="C43" i="1"/>
  <c r="C44" i="1"/>
  <c r="C45" i="1"/>
  <c r="C42" i="1"/>
  <c r="C35" i="1"/>
  <c r="C36" i="1"/>
  <c r="C37" i="1"/>
  <c r="C34" i="1"/>
  <c r="C7" i="1"/>
  <c r="C8" i="1"/>
  <c r="C30" i="1"/>
  <c r="C25" i="1"/>
  <c r="C21" i="1"/>
  <c r="C27" i="1"/>
  <c r="C31" i="1"/>
  <c r="C29" i="1"/>
  <c r="C32" i="1"/>
  <c r="C28" i="1"/>
  <c r="C33" i="1"/>
  <c r="C24" i="1"/>
  <c r="C23" i="1"/>
  <c r="C22" i="1"/>
  <c r="C26" i="1"/>
  <c r="C20" i="1"/>
</calcChain>
</file>

<file path=xl/sharedStrings.xml><?xml version="1.0" encoding="utf-8"?>
<sst xmlns="http://schemas.openxmlformats.org/spreadsheetml/2006/main" count="85" uniqueCount="66">
  <si>
    <t>Dez</t>
  </si>
  <si>
    <t>Fahrplanjahr</t>
  </si>
  <si>
    <t>01.12.</t>
  </si>
  <si>
    <t>mittwochs z-31 Wochen</t>
  </si>
  <si>
    <t>mittwochs z-14 Wochen</t>
  </si>
  <si>
    <t>Berechnung SPP-Beginn - 31 Wochen</t>
  </si>
  <si>
    <t>Baujahr</t>
  </si>
  <si>
    <t>Berechnung 01.12.</t>
  </si>
  <si>
    <t>Verknüpfung 01.12. mit Baujahr</t>
  </si>
  <si>
    <t>Berechnung Fahrplanwechsel (Samstag)</t>
  </si>
  <si>
    <t>Monat Dezember</t>
  </si>
  <si>
    <t>Tagesschlüssel (1=Sonntag, 2=Montag usw.)</t>
  </si>
  <si>
    <t>Berechnung SPP-Beginn - 14 Wochen</t>
  </si>
  <si>
    <t>Betra-Antrag durch Antragsteller erarbeiten (VRI-Prozess BÜW z-8 Wochen)</t>
  </si>
  <si>
    <t>Betra-Antrag beim Betra-Sachbearbeiter abgegeben (z-6 Wochen)</t>
  </si>
  <si>
    <t>Beteiligung der Fachdienste der DB Netz AG eingeholt (z-7 Wochen, Ril 406 5 Arbeitstage)</t>
  </si>
  <si>
    <t>Berechnung Beginn der Fahrplanperiode (Sonntag)</t>
  </si>
  <si>
    <t>Verknüpfung 01.12. des Beginns des Fahrplanjahres</t>
  </si>
  <si>
    <t>Berechnung Kalenderwoche von (x-9,5)</t>
  </si>
  <si>
    <t>Berechnung Kalenderwoche von (x-5)</t>
  </si>
  <si>
    <t>Berechnung Kalenderwoche von (x-8)</t>
  </si>
  <si>
    <t>Berechnung SPP-Beginn - 20 Wochen</t>
  </si>
  <si>
    <t>montags z-20 Wochen</t>
  </si>
  <si>
    <t>freitags z-7 Wochen</t>
  </si>
  <si>
    <t>Berechnung SPP-Beginn - 7 Wochen</t>
  </si>
  <si>
    <t>Referenzierter Fahrplanwechsel (relevant für Anmeldung nach Ril 406)</t>
  </si>
  <si>
    <t>&lt;-- Bitte Datum eingeben!</t>
  </si>
  <si>
    <t>Anzeige zum Strategischen Kapazitätsmanagement (28.02.)</t>
  </si>
  <si>
    <t>Erstanmeldung zum Mittelfristigem Kapazitätsmanagement (28.02.)</t>
  </si>
  <si>
    <t>Rückmeldung zum Mittelfristigen Kapazitätsmanagement n-3 bis n-5 Jahre (jeweils zum 15.08.)</t>
  </si>
  <si>
    <t>Anmeldung zum Kapazitätsmanagement Fahren und Bauen hA-Netz (n-2) x-26,5 (30.09.)</t>
  </si>
  <si>
    <r>
      <t xml:space="preserve">Rückmeldung der </t>
    </r>
    <r>
      <rPr>
        <b/>
        <sz val="10"/>
        <color theme="1"/>
        <rFont val="DB Office"/>
        <family val="2"/>
      </rPr>
      <t>nicht</t>
    </r>
    <r>
      <rPr>
        <sz val="10"/>
        <color theme="1"/>
        <rFont val="DB Office"/>
        <family val="2"/>
      </rPr>
      <t xml:space="preserve"> gebündelten Verfügbarkeitseinschränkungen (jeweils 05.02.)</t>
    </r>
  </si>
  <si>
    <t>Entscheidung über fehlende Reifegrade, Änderungen, erstmalige Anmeldungen außerhalb Bautakte (jeweils bis 15.10.)</t>
  </si>
  <si>
    <t>Rückmeldung der gebündelten Verfügbarkeitseinschränkungen (jeweils 05.04.)</t>
  </si>
  <si>
    <t>Anmeldung zum Kapazitätsmanagement Fahren und Bauen hA- und mA-Netz (n-1) x-19,5 (02.05.)</t>
  </si>
  <si>
    <t>Entscheidung über fehlende Reifegrade, Änderungen, erstmalige Anmeldungen als Nachmeldung (jeweils bis 15.05.)</t>
  </si>
  <si>
    <t>Genehmigung der gebündelten Baubetriebsmaßnahmen (x-15,5)</t>
  </si>
  <si>
    <t>Bestätigung der gebündelten Baubetriebsmaßnahmen (jeweils zum 02.05.)</t>
  </si>
  <si>
    <t>Anmeldung zum Kapazitätskonfliktmanagement A-Maßnahme (Mittwoch z-31 Wochen)</t>
  </si>
  <si>
    <t>Anmeldung zum Kapazitätskonfliktmanagement B-Maßnahme aus Vorprozess (Mittwoch z-31 Wochen)</t>
  </si>
  <si>
    <t>Anmeldung zum Kapazitätskonfliktmanagement B-Maßnahme  (Mittwoch z-14 Wochen)</t>
  </si>
  <si>
    <t>Anmeldung zum Kapazitätskonfliktmanagement C-Maßnahme (z-6 Wochen bzw. 42 Tage)</t>
  </si>
  <si>
    <t>Anmeldung zum Kapazitätskonfliktmanagement Schattenbaumaßnahmen (Mittwoch z-9 Wochen)</t>
  </si>
  <si>
    <t>Berechnung SPP-Beginn - 9 Wochen</t>
  </si>
  <si>
    <t>Genehmigung der Kapazitätskonfliktmanagement im BBM (Freitag z-7 Wochen)</t>
  </si>
  <si>
    <t>Genehmigung der B-Maßnahme aus Vorprozess im Kapazitätskonfliktmanagement (Montag z-20 Wochen)</t>
  </si>
  <si>
    <t>Genehmigung der A-Maßnahme im Kapazitätskonfliktmanagement (Montag z-20 Wochen)</t>
  </si>
  <si>
    <t>Genehmigung der C-Maßnahme im Kapazitätskonfliktmanagement (z-5 Wochen bzw. d-35 Tage)</t>
  </si>
  <si>
    <t>Genehmigung der Schattenbaumaßnahmen im Kapazitätskonfliktmanagement (Freitag z-7 Wochen)</t>
  </si>
  <si>
    <t>Anmeldung zum Kapazitätskonfliktmanagement F-Maßnahme (d-28 Tage)</t>
  </si>
  <si>
    <t>Genehmigung der F-Maßnahme im Kapazitätskonfliktmanagement (d-26 Tage; frühestens nach 2 Arbeitstagen)</t>
  </si>
  <si>
    <t>Prozess neu aus I.NXV</t>
  </si>
  <si>
    <t>alt: Anzeige zur Strategischen Bauplanung</t>
  </si>
  <si>
    <t>alt: Anmeldung zur Integrierten Bündelung</t>
  </si>
  <si>
    <t>alt: Anmeldung zum Baukapazitätsmanagement</t>
  </si>
  <si>
    <t>alt: Anmeldung zum Baubetriebsmanagement</t>
  </si>
  <si>
    <t>1. Betra (Bauaktivitäten)</t>
  </si>
  <si>
    <t xml:space="preserve">Genehmigung der im Kapazitätsmanagement Fahren und Bauen hA- und mA-Netz (n-1) Teil 1 behandelten Anmeldungen (x-8) </t>
  </si>
  <si>
    <t>Genehmigung der im Kapazitätsmanagement Fahren und Bauen hA- und mA-Netz (n-1) Teil 2 behandelten Anmeldungen (x-5)</t>
  </si>
  <si>
    <t>Baubeginn/Sperrzeitbeginn</t>
  </si>
  <si>
    <t>Sicherungsplan einrichen durch ausführende Unternehmen bei BzS (10 Arbeitstage)</t>
  </si>
  <si>
    <t>Terminrechner zur Bestimmung baubetrieblicher Termine (einschl. Betra-Antragtellung  und Sicherungsplan nach Ril 132.0118) gemäß Ril 406 (aktuell in Abstimmung)</t>
  </si>
  <si>
    <t>Terminrechner | Revision 04 vom 31.01.2022</t>
  </si>
  <si>
    <t>Erstanmeldung zum Mittelfristigen Kapazitätsmanagement n-3 bis n-5 (jeweils 21.02.)</t>
  </si>
  <si>
    <t>Anzeige zum Strategischen Kapazitätsmanagement n-6 bis n-10 (jeweils 15.06.)</t>
  </si>
  <si>
    <t>Rückmeldung zum Strategischen Kapazitätsmanagement n-6 bis n-10 Jahre (jeweils zum 15.11.)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</si>
</sst>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/m;@"/>
  </numFmts>
  <fonts count="9" x14ac:knownFonts="1">
    <font>
      <sz val="10"/>
      <color theme="1"/>
      <name val="DB Office"/>
      <family val="2"/>
    </font>
    <font>
      <sz val="10"/>
      <color rgb="FF3399F3"/>
      <name val="Tahoma"/>
      <family val="2"/>
    </font>
    <font>
      <sz val="10"/>
      <color rgb="FF000000"/>
      <name val="DB Office"/>
      <family val="2"/>
    </font>
    <font>
      <b/>
      <sz val="11"/>
      <color theme="1"/>
      <name val="DB Office"/>
      <family val="2"/>
    </font>
    <font>
      <sz val="10"/>
      <name val="Arial"/>
      <family val="2"/>
    </font>
    <font>
      <b/>
      <sz val="10"/>
      <color theme="1"/>
      <name val="DB Office"/>
      <family val="2"/>
    </font>
    <font>
      <b/>
      <sz val="12"/>
      <color theme="1"/>
      <name val="DB Office"/>
      <family val="2"/>
    </font>
    <font>
      <sz val="10"/>
      <name val="DB Office"/>
      <family val="2"/>
    </font>
    <font>
      <b/>
      <sz val="12"/>
      <color theme="0"/>
      <name val="DB Office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6">
    <xf numFmtId="0" fontId="0" fillId="0" borderId="0" xfId="0"/>
    <xf numFmtId="0" fontId="2" fillId="3" borderId="3" xfId="0" quotePrefix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7" borderId="0" xfId="0" applyFont="1" applyFill="1" applyAlignment="1">
      <alignment vertical="center"/>
    </xf>
    <xf numFmtId="14" fontId="8" fillId="6" borderId="4" xfId="0" applyNumberFormat="1" applyFont="1" applyFill="1" applyBorder="1" applyAlignment="1">
      <alignment horizontal="center" vertical="center"/>
    </xf>
    <xf numFmtId="14" fontId="2" fillId="5" borderId="3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165" fontId="2" fillId="0" borderId="3" xfId="0" quotePrefix="1" applyNumberFormat="1" applyFont="1" applyBorder="1" applyAlignment="1">
      <alignment horizontal="right" vertical="center"/>
    </xf>
    <xf numFmtId="164" fontId="0" fillId="0" borderId="3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4" fontId="0" fillId="3" borderId="3" xfId="0" applyNumberFormat="1" applyFont="1" applyFill="1" applyBorder="1" applyAlignment="1">
      <alignment horizontal="center" vertical="center"/>
    </xf>
    <xf numFmtId="0" fontId="0" fillId="4" borderId="0" xfId="0" applyFont="1" applyFill="1" applyBorder="1" applyAlignment="1">
      <alignment vertical="center"/>
    </xf>
    <xf numFmtId="164" fontId="0" fillId="4" borderId="0" xfId="0" applyNumberFormat="1" applyFont="1" applyFill="1" applyBorder="1" applyAlignment="1">
      <alignment horizontal="right" vertical="center"/>
    </xf>
    <xf numFmtId="14" fontId="7" fillId="2" borderId="3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5" borderId="1" xfId="0" applyFont="1" applyFill="1" applyBorder="1" applyAlignment="1">
      <alignment vertical="center"/>
    </xf>
    <xf numFmtId="164" fontId="0" fillId="5" borderId="2" xfId="0" applyNumberFormat="1" applyFont="1" applyFill="1" applyBorder="1" applyAlignment="1">
      <alignment horizontal="right" vertical="center"/>
    </xf>
    <xf numFmtId="14" fontId="7" fillId="5" borderId="3" xfId="0" applyNumberFormat="1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" fontId="2" fillId="5" borderId="3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4" fontId="0" fillId="8" borderId="3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0" borderId="3" xfId="0" quotePrefix="1" applyNumberFormat="1" applyFont="1" applyBorder="1" applyAlignment="1">
      <alignment horizontal="center" vertical="center"/>
    </xf>
    <xf numFmtId="164" fontId="0" fillId="0" borderId="3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0" fillId="5" borderId="1" xfId="0" applyFont="1" applyFill="1" applyBorder="1" applyAlignment="1">
      <alignment horizontal="left" vertical="center" wrapText="1"/>
    </xf>
    <xf numFmtId="0" fontId="0" fillId="5" borderId="2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/>
    </xf>
    <xf numFmtId="0" fontId="5" fillId="8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7" fillId="5" borderId="1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</cellXfs>
  <cellStyles count="2">
    <cellStyle name="Standard" xfId="0" builtinId="0"/>
    <cellStyle name="Standard 2" xfId="1" xr:uid="{00000000-0005-0000-0000-000001000000}"/>
  </cellStyles>
  <dxfs count="61"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2</xdr:row>
      <xdr:rowOff>47626</xdr:rowOff>
    </xdr:from>
    <xdr:to>
      <xdr:col>6</xdr:col>
      <xdr:colOff>1343025</xdr:colOff>
      <xdr:row>21</xdr:row>
      <xdr:rowOff>861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39575" y="390526"/>
          <a:ext cx="2905125" cy="241068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pageSetUpPr fitToPage="1"/>
  </sheetPr>
  <dimension ref="A1:G75"/>
  <sheetViews>
    <sheetView tabSelected="1" zoomScaleNormal="100" workbookViewId="0">
      <selection activeCell="F31" sqref="F31"/>
    </sheetView>
  </sheetViews>
  <sheetFormatPr baseColWidth="10" defaultRowHeight="12.75" x14ac:dyDescent="0.2"/>
  <cols>
    <col min="1" max="1" width="43.625" customWidth="1"/>
    <col min="2" max="2" width="48.875" customWidth="1"/>
    <col min="3" max="3" width="22.375" bestFit="1" customWidth="1"/>
    <col min="5" max="5" width="30.875" bestFit="1" customWidth="1"/>
    <col min="6" max="6" width="22.125" bestFit="1" customWidth="1"/>
    <col min="7" max="7" width="21.625" bestFit="1" customWidth="1"/>
    <col min="8" max="8" width="18.625" customWidth="1"/>
  </cols>
  <sheetData>
    <row r="1" spans="1:6" s="2" customFormat="1" ht="31.5" customHeight="1" x14ac:dyDescent="0.2">
      <c r="A1" s="7" t="s">
        <v>61</v>
      </c>
    </row>
    <row r="2" spans="1:6" s="2" customFormat="1" ht="22.5" customHeight="1" x14ac:dyDescent="0.2">
      <c r="A2" s="2" t="s">
        <v>62</v>
      </c>
    </row>
    <row r="3" spans="1:6" s="2" customFormat="1" ht="14.45" customHeight="1" thickBot="1" x14ac:dyDescent="0.25"/>
    <row r="4" spans="1:6" s="2" customFormat="1" ht="22.5" customHeight="1" thickBot="1" x14ac:dyDescent="0.25">
      <c r="A4" s="35" t="s">
        <v>59</v>
      </c>
      <c r="B4" s="36"/>
      <c r="C4" s="4">
        <v>46911</v>
      </c>
      <c r="D4" s="3" t="s">
        <v>26</v>
      </c>
      <c r="E4" s="3"/>
    </row>
    <row r="5" spans="1:6" s="10" customFormat="1" ht="14.45" customHeight="1" x14ac:dyDescent="0.2">
      <c r="A5" s="8"/>
      <c r="B5" s="9" t="s">
        <v>6</v>
      </c>
      <c r="C5" s="26">
        <f>YEAR(C4)</f>
        <v>2028</v>
      </c>
    </row>
    <row r="6" spans="1:6" s="10" customFormat="1" hidden="1" x14ac:dyDescent="0.2">
      <c r="A6" s="8"/>
      <c r="B6" s="11" t="s">
        <v>7</v>
      </c>
      <c r="C6" s="27" t="s">
        <v>2</v>
      </c>
    </row>
    <row r="7" spans="1:6" s="10" customFormat="1" hidden="1" x14ac:dyDescent="0.2">
      <c r="A7" s="8"/>
      <c r="B7" s="12" t="s">
        <v>17</v>
      </c>
      <c r="C7" s="28" t="str">
        <f>"01. "&amp;C12</f>
        <v>01. Dez 2027</v>
      </c>
    </row>
    <row r="8" spans="1:6" s="10" customFormat="1" ht="14.45" customHeight="1" x14ac:dyDescent="0.2">
      <c r="A8" s="8"/>
      <c r="B8" s="12" t="s">
        <v>16</v>
      </c>
      <c r="C8" s="28">
        <f>C7+14-WEEKDAY(C7,1)+1</f>
        <v>46733</v>
      </c>
      <c r="F8" s="13"/>
    </row>
    <row r="9" spans="1:6" s="10" customFormat="1" hidden="1" x14ac:dyDescent="0.2">
      <c r="A9" s="8"/>
      <c r="B9" s="9" t="s">
        <v>8</v>
      </c>
      <c r="C9" s="29" t="str">
        <f>C6&amp;C5</f>
        <v>01.12.2028</v>
      </c>
    </row>
    <row r="10" spans="1:6" s="10" customFormat="1" ht="14.45" customHeight="1" x14ac:dyDescent="0.2">
      <c r="A10" s="8"/>
      <c r="B10" s="12" t="s">
        <v>9</v>
      </c>
      <c r="C10" s="28">
        <f>C9+14-WEEKDAY(C9,1)</f>
        <v>47096</v>
      </c>
    </row>
    <row r="11" spans="1:6" s="2" customFormat="1" hidden="1" x14ac:dyDescent="0.2">
      <c r="A11" s="8"/>
      <c r="B11" s="9" t="s">
        <v>10</v>
      </c>
      <c r="C11" s="30" t="s">
        <v>0</v>
      </c>
    </row>
    <row r="12" spans="1:6" s="2" customFormat="1" ht="14.45" customHeight="1" x14ac:dyDescent="0.2">
      <c r="A12" s="37" t="s">
        <v>25</v>
      </c>
      <c r="B12" s="38"/>
      <c r="C12" s="14" t="str">
        <f>C11&amp;" "&amp;C13-1</f>
        <v>Dez 2027</v>
      </c>
    </row>
    <row r="13" spans="1:6" s="2" customFormat="1" ht="14.45" customHeight="1" x14ac:dyDescent="0.2">
      <c r="A13" s="37" t="s">
        <v>1</v>
      </c>
      <c r="B13" s="38"/>
      <c r="C13" s="1">
        <f>IF(C4&gt;C10,C5+1,C5)</f>
        <v>2028</v>
      </c>
    </row>
    <row r="14" spans="1:6" s="2" customFormat="1" ht="14.45" customHeight="1" x14ac:dyDescent="0.2">
      <c r="A14" s="15"/>
      <c r="B14" s="16"/>
      <c r="C14" s="31"/>
    </row>
    <row r="15" spans="1:6" s="2" customFormat="1" ht="14.45" customHeight="1" x14ac:dyDescent="0.2">
      <c r="A15" s="33" t="s">
        <v>64</v>
      </c>
      <c r="B15" s="34"/>
      <c r="C15" s="17">
        <f>DATE(YEAR(C16),MONTH(C16)+4,1)+14</f>
        <v>44727</v>
      </c>
      <c r="D15" s="2" t="s">
        <v>51</v>
      </c>
    </row>
    <row r="16" spans="1:6" s="2" customFormat="1" hidden="1" x14ac:dyDescent="0.2">
      <c r="A16" s="18"/>
      <c r="B16" s="12" t="s">
        <v>27</v>
      </c>
      <c r="C16" s="32">
        <f>EOMONTH(C12,-70)</f>
        <v>44620</v>
      </c>
    </row>
    <row r="17" spans="1:5" s="2" customFormat="1" ht="14.45" customHeight="1" x14ac:dyDescent="0.2">
      <c r="A17" s="19" t="s">
        <v>65</v>
      </c>
      <c r="B17" s="20"/>
      <c r="C17" s="21">
        <f>DATE(YEAR(C16),MONTH(C16)+9,1)+14</f>
        <v>44880</v>
      </c>
    </row>
    <row r="18" spans="1:5" s="2" customFormat="1" ht="14.45" customHeight="1" x14ac:dyDescent="0.2">
      <c r="A18" s="33" t="s">
        <v>63</v>
      </c>
      <c r="B18" s="34"/>
      <c r="C18" s="22">
        <f>DATE(YEAR(C19),MONTH(C16),1)+20</f>
        <v>45709</v>
      </c>
      <c r="D18" s="2" t="s">
        <v>52</v>
      </c>
    </row>
    <row r="19" spans="1:5" s="2" customFormat="1" hidden="1" x14ac:dyDescent="0.2">
      <c r="A19" s="18"/>
      <c r="B19" s="12" t="s">
        <v>28</v>
      </c>
      <c r="C19" s="32">
        <f>EOMONTH(C12,-34)</f>
        <v>45716</v>
      </c>
    </row>
    <row r="20" spans="1:5" s="2" customFormat="1" ht="14.45" customHeight="1" x14ac:dyDescent="0.2">
      <c r="A20" s="19" t="s">
        <v>29</v>
      </c>
      <c r="B20" s="20"/>
      <c r="C20" s="5">
        <f>DATE(YEAR(C19),MONTH(C19)+6,1)+14</f>
        <v>45884</v>
      </c>
    </row>
    <row r="21" spans="1:5" s="2" customFormat="1" ht="14.45" customHeight="1" x14ac:dyDescent="0.2">
      <c r="A21" s="33" t="s">
        <v>30</v>
      </c>
      <c r="B21" s="34"/>
      <c r="C21" s="22">
        <f>EOMONTH(C12,-27)</f>
        <v>45930</v>
      </c>
      <c r="D21" s="2" t="s">
        <v>53</v>
      </c>
    </row>
    <row r="22" spans="1:5" s="2" customFormat="1" ht="26.25" customHeight="1" x14ac:dyDescent="0.2">
      <c r="A22" s="39" t="s">
        <v>32</v>
      </c>
      <c r="B22" s="40"/>
      <c r="C22" s="5">
        <f>DATE(YEAR(C21),MONTH(C21)+1,1)+14</f>
        <v>45945</v>
      </c>
      <c r="E22" s="6"/>
    </row>
    <row r="23" spans="1:5" s="2" customFormat="1" ht="14.45" customHeight="1" x14ac:dyDescent="0.2">
      <c r="A23" s="39" t="s">
        <v>31</v>
      </c>
      <c r="B23" s="40"/>
      <c r="C23" s="5">
        <f>DATE(YEAR(C21),MONTH(C21)+5,1)+4</f>
        <v>46058</v>
      </c>
      <c r="E23" s="6"/>
    </row>
    <row r="24" spans="1:5" s="2" customFormat="1" ht="14.45" customHeight="1" x14ac:dyDescent="0.2">
      <c r="A24" s="19" t="s">
        <v>33</v>
      </c>
      <c r="B24" s="20"/>
      <c r="C24" s="5">
        <f>DATE(YEAR(C21),MONTH(C21)+7,1)+4</f>
        <v>46117</v>
      </c>
      <c r="E24" s="6"/>
    </row>
    <row r="25" spans="1:5" s="2" customFormat="1" ht="14.45" customHeight="1" x14ac:dyDescent="0.2">
      <c r="A25" s="19" t="s">
        <v>37</v>
      </c>
      <c r="B25" s="20"/>
      <c r="C25" s="5">
        <f>EOMONTH(C12,-20)+2</f>
        <v>46144</v>
      </c>
      <c r="E25" s="6"/>
    </row>
    <row r="26" spans="1:5" s="2" customFormat="1" ht="14.45" customHeight="1" x14ac:dyDescent="0.2">
      <c r="A26" s="39" t="s">
        <v>36</v>
      </c>
      <c r="B26" s="40"/>
      <c r="C26" s="21">
        <f>DATE(YEAR(C19),MONTH(C19)+18,1)+14</f>
        <v>46249</v>
      </c>
      <c r="E26" s="6"/>
    </row>
    <row r="27" spans="1:5" s="2" customFormat="1" ht="14.45" customHeight="1" x14ac:dyDescent="0.2">
      <c r="A27" s="33" t="s">
        <v>34</v>
      </c>
      <c r="B27" s="34"/>
      <c r="C27" s="22">
        <f>EOMONTH(C12,-20)+2</f>
        <v>46144</v>
      </c>
      <c r="D27" s="2" t="s">
        <v>54</v>
      </c>
    </row>
    <row r="28" spans="1:5" s="2" customFormat="1" hidden="1" x14ac:dyDescent="0.2">
      <c r="A28" s="39" t="s">
        <v>19</v>
      </c>
      <c r="B28" s="40"/>
      <c r="C28" s="23">
        <f>WEEKNUM((C8-150))</f>
        <v>29</v>
      </c>
      <c r="E28" s="6"/>
    </row>
    <row r="29" spans="1:5" s="2" customFormat="1" hidden="1" x14ac:dyDescent="0.2">
      <c r="A29" s="39" t="s">
        <v>20</v>
      </c>
      <c r="B29" s="40"/>
      <c r="C29" s="23">
        <f>WEEKNUM((C8-240))</f>
        <v>16</v>
      </c>
      <c r="E29" s="6"/>
    </row>
    <row r="30" spans="1:5" s="2" customFormat="1" hidden="1" x14ac:dyDescent="0.2">
      <c r="A30" s="39" t="s">
        <v>18</v>
      </c>
      <c r="B30" s="40"/>
      <c r="C30" s="23">
        <f>WEEKNUM((C8-285))</f>
        <v>10</v>
      </c>
      <c r="E30" s="6"/>
    </row>
    <row r="31" spans="1:5" s="2" customFormat="1" ht="21" customHeight="1" x14ac:dyDescent="0.2">
      <c r="A31" s="39" t="s">
        <v>35</v>
      </c>
      <c r="B31" s="40"/>
      <c r="C31" s="5">
        <f>DATE(YEAR(C27),MONTH(C27),1)+14</f>
        <v>46157</v>
      </c>
      <c r="E31" s="6"/>
    </row>
    <row r="32" spans="1:5" s="2" customFormat="1" ht="29.25" customHeight="1" x14ac:dyDescent="0.2">
      <c r="A32" s="44" t="s">
        <v>57</v>
      </c>
      <c r="B32" s="45"/>
      <c r="C32" s="5" t="str">
        <f>"KW "&amp;(C29+7) &amp; " / " &amp; YEAR(C8)</f>
        <v>KW 23 / 2027</v>
      </c>
      <c r="E32" s="6"/>
    </row>
    <row r="33" spans="1:5" s="2" customFormat="1" ht="28.5" customHeight="1" x14ac:dyDescent="0.2">
      <c r="A33" s="44" t="s">
        <v>58</v>
      </c>
      <c r="B33" s="45"/>
      <c r="C33" s="5" t="str">
        <f>"KW "&amp;(C28) &amp; " / " &amp; YEAR(C8)</f>
        <v>KW 29 / 2027</v>
      </c>
      <c r="E33" s="6"/>
    </row>
    <row r="34" spans="1:5" s="2" customFormat="1" ht="14.45" customHeight="1" x14ac:dyDescent="0.2">
      <c r="A34" s="33" t="s">
        <v>38</v>
      </c>
      <c r="B34" s="34"/>
      <c r="C34" s="22">
        <f>C37</f>
        <v>46694</v>
      </c>
      <c r="D34" s="2" t="s">
        <v>55</v>
      </c>
    </row>
    <row r="35" spans="1:5" s="2" customFormat="1" hidden="1" x14ac:dyDescent="0.2">
      <c r="A35" s="8"/>
      <c r="B35" s="9" t="s">
        <v>5</v>
      </c>
      <c r="C35" s="32">
        <f>C4-217</f>
        <v>46694</v>
      </c>
    </row>
    <row r="36" spans="1:5" s="2" customFormat="1" hidden="1" x14ac:dyDescent="0.2">
      <c r="A36" s="8"/>
      <c r="B36" s="9" t="s">
        <v>11</v>
      </c>
      <c r="C36" s="32">
        <f>WEEKDAY(C35)</f>
        <v>4</v>
      </c>
    </row>
    <row r="37" spans="1:5" s="2" customFormat="1" hidden="1" x14ac:dyDescent="0.2">
      <c r="A37" s="8"/>
      <c r="B37" s="9" t="s">
        <v>3</v>
      </c>
      <c r="C37" s="32">
        <f>IF(C36=1,C35-4,IF(C36=2,C35+2,IF(C36=3,C35+1,IF(C36=4,C35,IF(C36=5,C35-1,IF(C36=6,C35-2,IF(C36=7,C35-3)))))))</f>
        <v>46694</v>
      </c>
    </row>
    <row r="38" spans="1:5" s="2" customFormat="1" hidden="1" x14ac:dyDescent="0.2">
      <c r="A38" s="8"/>
      <c r="B38" s="9" t="s">
        <v>21</v>
      </c>
      <c r="C38" s="32">
        <f>C4-140</f>
        <v>46771</v>
      </c>
    </row>
    <row r="39" spans="1:5" s="2" customFormat="1" hidden="1" x14ac:dyDescent="0.2">
      <c r="A39" s="8"/>
      <c r="B39" s="9" t="s">
        <v>11</v>
      </c>
      <c r="C39" s="32">
        <f>WEEKDAY(C38)</f>
        <v>4</v>
      </c>
    </row>
    <row r="40" spans="1:5" s="2" customFormat="1" hidden="1" x14ac:dyDescent="0.2">
      <c r="A40" s="8"/>
      <c r="B40" s="9" t="s">
        <v>22</v>
      </c>
      <c r="C40" s="32">
        <f>IF(C39=1,C38-6,IF(C39=2,C38,IF(C39=3,C38-1,IF(C39=4,C38-2,IF(C39=5,C38-3,IF(C39=6,C38-4,IF(C39=7,C38-5)))))))</f>
        <v>46769</v>
      </c>
    </row>
    <row r="41" spans="1:5" s="2" customFormat="1" ht="14.45" customHeight="1" x14ac:dyDescent="0.2">
      <c r="A41" s="39" t="s">
        <v>46</v>
      </c>
      <c r="B41" s="40"/>
      <c r="C41" s="5">
        <f>C40</f>
        <v>46769</v>
      </c>
    </row>
    <row r="42" spans="1:5" s="2" customFormat="1" ht="14.45" customHeight="1" x14ac:dyDescent="0.2">
      <c r="A42" s="33" t="s">
        <v>39</v>
      </c>
      <c r="B42" s="34"/>
      <c r="C42" s="22">
        <f>C45</f>
        <v>46694</v>
      </c>
      <c r="D42" s="2" t="s">
        <v>55</v>
      </c>
    </row>
    <row r="43" spans="1:5" s="2" customFormat="1" hidden="1" x14ac:dyDescent="0.2">
      <c r="A43" s="18"/>
      <c r="B43" s="9" t="s">
        <v>5</v>
      </c>
      <c r="C43" s="32">
        <f>C4-217</f>
        <v>46694</v>
      </c>
    </row>
    <row r="44" spans="1:5" s="2" customFormat="1" hidden="1" x14ac:dyDescent="0.2">
      <c r="A44" s="18"/>
      <c r="B44" s="9" t="s">
        <v>11</v>
      </c>
      <c r="C44" s="32">
        <f>WEEKDAY(C43)</f>
        <v>4</v>
      </c>
    </row>
    <row r="45" spans="1:5" s="2" customFormat="1" hidden="1" x14ac:dyDescent="0.2">
      <c r="A45" s="18"/>
      <c r="B45" s="9" t="s">
        <v>3</v>
      </c>
      <c r="C45" s="32">
        <f>IF(C44=1,C43-4,IF(C44=2,C43+2,IF(C44=3,C43+1,IF(C44=4,C43,IF(C44=5,C43-1,IF(C44=6,C43-2,IF(C44=7,C43-3)))))))</f>
        <v>46694</v>
      </c>
    </row>
    <row r="46" spans="1:5" s="2" customFormat="1" hidden="1" x14ac:dyDescent="0.2">
      <c r="A46" s="18"/>
      <c r="B46" s="9" t="s">
        <v>21</v>
      </c>
      <c r="C46" s="32">
        <f>C4-140</f>
        <v>46771</v>
      </c>
    </row>
    <row r="47" spans="1:5" s="2" customFormat="1" hidden="1" x14ac:dyDescent="0.2">
      <c r="A47" s="18"/>
      <c r="B47" s="9" t="s">
        <v>11</v>
      </c>
      <c r="C47" s="32">
        <f>WEEKDAY(C46)</f>
        <v>4</v>
      </c>
    </row>
    <row r="48" spans="1:5" s="2" customFormat="1" hidden="1" x14ac:dyDescent="0.2">
      <c r="A48" s="18"/>
      <c r="B48" s="9" t="s">
        <v>22</v>
      </c>
      <c r="C48" s="32">
        <f>IF(C47=1,C46-6,IF(C47=2,C46,IF(C47=3,C46-1,IF(C47=4,C46-2,IF(C47=5,C46-3,IF(C47=6,C46-4,IF(C47=7,C46-5)))))))</f>
        <v>46769</v>
      </c>
    </row>
    <row r="49" spans="1:4" s="2" customFormat="1" ht="14.45" customHeight="1" x14ac:dyDescent="0.2">
      <c r="A49" s="39" t="s">
        <v>45</v>
      </c>
      <c r="B49" s="40"/>
      <c r="C49" s="5">
        <f>C48</f>
        <v>46769</v>
      </c>
    </row>
    <row r="50" spans="1:4" s="2" customFormat="1" ht="14.45" customHeight="1" x14ac:dyDescent="0.2">
      <c r="A50" s="33" t="s">
        <v>40</v>
      </c>
      <c r="B50" s="34"/>
      <c r="C50" s="22">
        <f>C53</f>
        <v>46813</v>
      </c>
      <c r="D50" s="2" t="s">
        <v>55</v>
      </c>
    </row>
    <row r="51" spans="1:4" s="2" customFormat="1" hidden="1" x14ac:dyDescent="0.2">
      <c r="A51" s="18"/>
      <c r="B51" s="9" t="s">
        <v>12</v>
      </c>
      <c r="C51" s="32">
        <f>C4-98</f>
        <v>46813</v>
      </c>
    </row>
    <row r="52" spans="1:4" s="2" customFormat="1" hidden="1" x14ac:dyDescent="0.2">
      <c r="A52" s="18"/>
      <c r="B52" s="9" t="s">
        <v>11</v>
      </c>
      <c r="C52" s="32">
        <f>WEEKDAY(C51)</f>
        <v>4</v>
      </c>
    </row>
    <row r="53" spans="1:4" s="2" customFormat="1" hidden="1" x14ac:dyDescent="0.2">
      <c r="A53" s="18"/>
      <c r="B53" s="9" t="s">
        <v>4</v>
      </c>
      <c r="C53" s="32">
        <f>IF(C52=1,C51-4,IF(C52=2,C51+2,IF(C52=3,C51+1,IF(C52=4,C51,IF(C52=5,C51-1,IF(C52=6,C51-2,IF(C52=7,C51-3)))))))</f>
        <v>46813</v>
      </c>
    </row>
    <row r="54" spans="1:4" s="2" customFormat="1" hidden="1" x14ac:dyDescent="0.2">
      <c r="A54" s="18"/>
      <c r="B54" s="9" t="s">
        <v>24</v>
      </c>
      <c r="C54" s="32">
        <f>C4-49</f>
        <v>46862</v>
      </c>
    </row>
    <row r="55" spans="1:4" s="2" customFormat="1" hidden="1" x14ac:dyDescent="0.2">
      <c r="A55" s="18"/>
      <c r="B55" s="9" t="s">
        <v>11</v>
      </c>
      <c r="C55" s="32">
        <f>WEEKDAY(C54)</f>
        <v>4</v>
      </c>
    </row>
    <row r="56" spans="1:4" s="2" customFormat="1" hidden="1" x14ac:dyDescent="0.2">
      <c r="A56" s="18"/>
      <c r="B56" s="9" t="s">
        <v>23</v>
      </c>
      <c r="C56" s="32">
        <f>IF(C55=1,C54-2,IF(C55=2,C54+4,IF(C55=3,C54+3,IF(C55=4,C54+2,IF(C55=5,C54+1,IF(C55=6,C54,IF(C55=7,C54-1)))))))</f>
        <v>46864</v>
      </c>
    </row>
    <row r="57" spans="1:4" s="2" customFormat="1" ht="14.45" customHeight="1" x14ac:dyDescent="0.2">
      <c r="A57" s="39" t="s">
        <v>44</v>
      </c>
      <c r="B57" s="40"/>
      <c r="C57" s="5">
        <f>C56</f>
        <v>46864</v>
      </c>
    </row>
    <row r="58" spans="1:4" s="2" customFormat="1" ht="14.45" customHeight="1" x14ac:dyDescent="0.2">
      <c r="A58" s="33" t="s">
        <v>42</v>
      </c>
      <c r="B58" s="34"/>
      <c r="C58" s="22">
        <f>C61</f>
        <v>46848</v>
      </c>
      <c r="D58" s="2" t="s">
        <v>55</v>
      </c>
    </row>
    <row r="59" spans="1:4" s="2" customFormat="1" hidden="1" x14ac:dyDescent="0.2">
      <c r="A59" s="18"/>
      <c r="B59" s="9" t="s">
        <v>43</v>
      </c>
      <c r="C59" s="32">
        <f>C4-63</f>
        <v>46848</v>
      </c>
    </row>
    <row r="60" spans="1:4" s="2" customFormat="1" hidden="1" x14ac:dyDescent="0.2">
      <c r="A60" s="18"/>
      <c r="B60" s="9" t="s">
        <v>11</v>
      </c>
      <c r="C60" s="32">
        <f>WEEKDAY(C59)</f>
        <v>4</v>
      </c>
    </row>
    <row r="61" spans="1:4" s="2" customFormat="1" hidden="1" x14ac:dyDescent="0.2">
      <c r="A61" s="18"/>
      <c r="B61" s="9" t="s">
        <v>4</v>
      </c>
      <c r="C61" s="32">
        <f>IF(C60=1,C59-4,IF(C60=2,C59+2,IF(C60=3,C59+1,IF(C60=4,C59,IF(C60=5,C59-1,IF(C60=6,C59-2,IF(C60=7,C59-3)))))))</f>
        <v>46848</v>
      </c>
    </row>
    <row r="62" spans="1:4" s="2" customFormat="1" hidden="1" x14ac:dyDescent="0.2">
      <c r="A62" s="18"/>
      <c r="B62" s="9" t="s">
        <v>24</v>
      </c>
      <c r="C62" s="32">
        <f>C4-49</f>
        <v>46862</v>
      </c>
    </row>
    <row r="63" spans="1:4" s="2" customFormat="1" hidden="1" x14ac:dyDescent="0.2">
      <c r="A63" s="18"/>
      <c r="B63" s="9" t="s">
        <v>11</v>
      </c>
      <c r="C63" s="32">
        <f>WEEKDAY(C62)</f>
        <v>4</v>
      </c>
    </row>
    <row r="64" spans="1:4" s="2" customFormat="1" hidden="1" x14ac:dyDescent="0.2">
      <c r="A64" s="18"/>
      <c r="B64" s="9" t="s">
        <v>23</v>
      </c>
      <c r="C64" s="32">
        <f>IF(C63=1,C62-2,IF(C63=2,C62+4,IF(C63=3,C62+3,IF(C63=4,C62+2,IF(C63=5,C62+1,IF(C63=6,C62,IF(C63=7,C62-1)))))))</f>
        <v>46864</v>
      </c>
    </row>
    <row r="65" spans="1:7" s="2" customFormat="1" ht="14.45" customHeight="1" x14ac:dyDescent="0.2">
      <c r="A65" s="39" t="s">
        <v>48</v>
      </c>
      <c r="B65" s="40"/>
      <c r="C65" s="5">
        <f>C64</f>
        <v>46864</v>
      </c>
    </row>
    <row r="66" spans="1:7" s="2" customFormat="1" ht="14.45" customHeight="1" x14ac:dyDescent="0.2">
      <c r="A66" s="33" t="s">
        <v>41</v>
      </c>
      <c r="B66" s="34"/>
      <c r="C66" s="22">
        <f>C4-42</f>
        <v>46869</v>
      </c>
      <c r="D66" s="2" t="s">
        <v>55</v>
      </c>
    </row>
    <row r="67" spans="1:7" s="2" customFormat="1" ht="14.45" customHeight="1" x14ac:dyDescent="0.2">
      <c r="A67" s="39" t="s">
        <v>47</v>
      </c>
      <c r="B67" s="40"/>
      <c r="C67" s="5">
        <f>C4-35</f>
        <v>46876</v>
      </c>
    </row>
    <row r="68" spans="1:7" s="2" customFormat="1" ht="14.45" customHeight="1" x14ac:dyDescent="0.2">
      <c r="A68" s="33" t="s">
        <v>49</v>
      </c>
      <c r="B68" s="34"/>
      <c r="C68" s="22">
        <f>C4-28</f>
        <v>46883</v>
      </c>
      <c r="D68" s="2" t="s">
        <v>55</v>
      </c>
    </row>
    <row r="69" spans="1:7" s="2" customFormat="1" ht="14.45" customHeight="1" x14ac:dyDescent="0.2">
      <c r="A69" s="39" t="s">
        <v>50</v>
      </c>
      <c r="B69" s="40"/>
      <c r="C69" s="5">
        <f>C4-35</f>
        <v>46876</v>
      </c>
    </row>
    <row r="70" spans="1:7" s="2" customFormat="1" ht="14.45" customHeight="1" x14ac:dyDescent="0.2">
      <c r="A70" s="33" t="s">
        <v>13</v>
      </c>
      <c r="B70" s="43"/>
      <c r="C70" s="22">
        <f>C74-56</f>
        <v>46855</v>
      </c>
      <c r="G70" s="24"/>
    </row>
    <row r="71" spans="1:7" s="2" customFormat="1" ht="14.45" customHeight="1" x14ac:dyDescent="0.2">
      <c r="A71" s="37" t="s">
        <v>15</v>
      </c>
      <c r="B71" s="38"/>
      <c r="C71" s="14">
        <f>WORKDAY(C72,-5)</f>
        <v>46862</v>
      </c>
    </row>
    <row r="72" spans="1:7" s="2" customFormat="1" ht="14.45" customHeight="1" x14ac:dyDescent="0.2">
      <c r="A72" s="33" t="s">
        <v>14</v>
      </c>
      <c r="B72" s="43"/>
      <c r="C72" s="22">
        <f>C74-42</f>
        <v>46869</v>
      </c>
    </row>
    <row r="73" spans="1:7" s="2" customFormat="1" ht="14.45" customHeight="1" x14ac:dyDescent="0.2">
      <c r="A73" s="37" t="s">
        <v>60</v>
      </c>
      <c r="B73" s="38"/>
      <c r="C73" s="14">
        <f>WORKDAY(C74,-10)</f>
        <v>46897</v>
      </c>
    </row>
    <row r="74" spans="1:7" s="2" customFormat="1" ht="14.45" customHeight="1" x14ac:dyDescent="0.2">
      <c r="A74" s="41" t="s">
        <v>56</v>
      </c>
      <c r="B74" s="42"/>
      <c r="C74" s="25">
        <f>C4</f>
        <v>46911</v>
      </c>
    </row>
    <row r="75" spans="1:7" s="2" customFormat="1" x14ac:dyDescent="0.2"/>
  </sheetData>
  <mergeCells count="33">
    <mergeCell ref="A57:B57"/>
    <mergeCell ref="A71:B71"/>
    <mergeCell ref="A13:B13"/>
    <mergeCell ref="A23:B23"/>
    <mergeCell ref="A28:B28"/>
    <mergeCell ref="A32:B32"/>
    <mergeCell ref="A33:B33"/>
    <mergeCell ref="A29:B29"/>
    <mergeCell ref="A30:B30"/>
    <mergeCell ref="A65:B65"/>
    <mergeCell ref="A74:B74"/>
    <mergeCell ref="A73:B73"/>
    <mergeCell ref="A67:B67"/>
    <mergeCell ref="A72:B72"/>
    <mergeCell ref="A68:B68"/>
    <mergeCell ref="A69:B69"/>
    <mergeCell ref="A70:B70"/>
    <mergeCell ref="A34:B34"/>
    <mergeCell ref="A4:B4"/>
    <mergeCell ref="A12:B12"/>
    <mergeCell ref="A15:B15"/>
    <mergeCell ref="A66:B66"/>
    <mergeCell ref="A21:B21"/>
    <mergeCell ref="A42:B42"/>
    <mergeCell ref="A27:B27"/>
    <mergeCell ref="A50:B50"/>
    <mergeCell ref="A18:B18"/>
    <mergeCell ref="A22:B22"/>
    <mergeCell ref="A31:B31"/>
    <mergeCell ref="A26:B26"/>
    <mergeCell ref="A41:B41"/>
    <mergeCell ref="A49:B49"/>
    <mergeCell ref="A58:B58"/>
  </mergeCells>
  <conditionalFormatting sqref="C4:C9 B14 C21 C50 C66 C12:C14 C27 C34 C41:C42 C70:C74 B10:C10 B7:C7">
    <cfRule type="cellIs" dxfId="60" priority="102" operator="lessThanOrEqual">
      <formula>$A$83</formula>
    </cfRule>
  </conditionalFormatting>
  <conditionalFormatting sqref="C15">
    <cfRule type="cellIs" dxfId="59" priority="96" operator="lessThanOrEqual">
      <formula>$A$83</formula>
    </cfRule>
  </conditionalFormatting>
  <conditionalFormatting sqref="C35">
    <cfRule type="cellIs" dxfId="58" priority="91" operator="lessThanOrEqual">
      <formula>$A$83</formula>
    </cfRule>
  </conditionalFormatting>
  <conditionalFormatting sqref="C36">
    <cfRule type="cellIs" dxfId="57" priority="90" operator="lessThanOrEqual">
      <formula>$A$83</formula>
    </cfRule>
  </conditionalFormatting>
  <conditionalFormatting sqref="C45">
    <cfRule type="cellIs" dxfId="56" priority="85" operator="lessThanOrEqual">
      <formula>$A$83</formula>
    </cfRule>
  </conditionalFormatting>
  <conditionalFormatting sqref="C43">
    <cfRule type="cellIs" dxfId="55" priority="84" operator="lessThanOrEqual">
      <formula>$A$83</formula>
    </cfRule>
  </conditionalFormatting>
  <conditionalFormatting sqref="C44">
    <cfRule type="cellIs" dxfId="54" priority="83" operator="lessThanOrEqual">
      <formula>$A$83</formula>
    </cfRule>
  </conditionalFormatting>
  <conditionalFormatting sqref="C51">
    <cfRule type="cellIs" dxfId="53" priority="76" operator="lessThanOrEqual">
      <formula>$A$83</formula>
    </cfRule>
  </conditionalFormatting>
  <conditionalFormatting sqref="C52">
    <cfRule type="cellIs" dxfId="52" priority="75" operator="lessThanOrEqual">
      <formula>$A$83</formula>
    </cfRule>
  </conditionalFormatting>
  <conditionalFormatting sqref="C53">
    <cfRule type="cellIs" dxfId="51" priority="74" operator="lessThanOrEqual">
      <formula>$A$83</formula>
    </cfRule>
  </conditionalFormatting>
  <conditionalFormatting sqref="B5:B9">
    <cfRule type="cellIs" dxfId="50" priority="73" operator="lessThanOrEqual">
      <formula>$A$83</formula>
    </cfRule>
  </conditionalFormatting>
  <conditionalFormatting sqref="B16:B17">
    <cfRule type="cellIs" dxfId="49" priority="66" operator="lessThanOrEqual">
      <formula>$A$83</formula>
    </cfRule>
  </conditionalFormatting>
  <conditionalFormatting sqref="C16:C17">
    <cfRule type="cellIs" dxfId="48" priority="65" operator="lessThanOrEqual">
      <formula>$A$83</formula>
    </cfRule>
  </conditionalFormatting>
  <conditionalFormatting sqref="C37">
    <cfRule type="cellIs" dxfId="47" priority="64" operator="lessThanOrEqual">
      <formula>$A$83</formula>
    </cfRule>
  </conditionalFormatting>
  <conditionalFormatting sqref="B35:B37">
    <cfRule type="cellIs" dxfId="46" priority="60" operator="lessThanOrEqual">
      <formula>$A$83</formula>
    </cfRule>
  </conditionalFormatting>
  <conditionalFormatting sqref="B43:B45">
    <cfRule type="cellIs" dxfId="45" priority="59" operator="lessThanOrEqual">
      <formula>$A$83</formula>
    </cfRule>
  </conditionalFormatting>
  <conditionalFormatting sqref="B51:B53">
    <cfRule type="cellIs" dxfId="44" priority="58" operator="lessThanOrEqual">
      <formula>$A$83</formula>
    </cfRule>
  </conditionalFormatting>
  <conditionalFormatting sqref="C11">
    <cfRule type="cellIs" dxfId="43" priority="56" operator="lessThanOrEqual">
      <formula>$A$83</formula>
    </cfRule>
  </conditionalFormatting>
  <conditionalFormatting sqref="B11">
    <cfRule type="cellIs" dxfId="42" priority="55" operator="lessThanOrEqual">
      <formula>$A$83</formula>
    </cfRule>
  </conditionalFormatting>
  <conditionalFormatting sqref="C23">
    <cfRule type="cellIs" dxfId="41" priority="53" operator="lessThanOrEqual">
      <formula>$A$83</formula>
    </cfRule>
  </conditionalFormatting>
  <conditionalFormatting sqref="B24:B25">
    <cfRule type="cellIs" dxfId="40" priority="52" operator="lessThanOrEqual">
      <formula>$A$83</formula>
    </cfRule>
  </conditionalFormatting>
  <conditionalFormatting sqref="C24:C26">
    <cfRule type="cellIs" dxfId="39" priority="51" operator="lessThanOrEqual">
      <formula>$A$83</formula>
    </cfRule>
  </conditionalFormatting>
  <conditionalFormatting sqref="C28">
    <cfRule type="cellIs" dxfId="38" priority="50" operator="lessThanOrEqual">
      <formula>$A$83</formula>
    </cfRule>
  </conditionalFormatting>
  <conditionalFormatting sqref="C32">
    <cfRule type="cellIs" dxfId="37" priority="47" operator="lessThanOrEqual">
      <formula>$A$83</formula>
    </cfRule>
  </conditionalFormatting>
  <conditionalFormatting sqref="C33">
    <cfRule type="cellIs" dxfId="36" priority="46" operator="lessThanOrEqual">
      <formula>$A$83</formula>
    </cfRule>
  </conditionalFormatting>
  <conditionalFormatting sqref="B8">
    <cfRule type="cellIs" dxfId="35" priority="42" operator="lessThanOrEqual">
      <formula>$A$83</formula>
    </cfRule>
  </conditionalFormatting>
  <conditionalFormatting sqref="C8">
    <cfRule type="cellIs" dxfId="34" priority="41" operator="lessThanOrEqual">
      <formula>$A$83</formula>
    </cfRule>
  </conditionalFormatting>
  <conditionalFormatting sqref="C29">
    <cfRule type="cellIs" dxfId="33" priority="40" operator="lessThanOrEqual">
      <formula>$A$83</formula>
    </cfRule>
  </conditionalFormatting>
  <conditionalFormatting sqref="C30">
    <cfRule type="cellIs" dxfId="32" priority="39" operator="lessThanOrEqual">
      <formula>$A$83</formula>
    </cfRule>
  </conditionalFormatting>
  <conditionalFormatting sqref="C38">
    <cfRule type="cellIs" dxfId="31" priority="34" operator="lessThanOrEqual">
      <formula>$A$83</formula>
    </cfRule>
  </conditionalFormatting>
  <conditionalFormatting sqref="C39">
    <cfRule type="cellIs" dxfId="30" priority="33" operator="lessThanOrEqual">
      <formula>$A$83</formula>
    </cfRule>
  </conditionalFormatting>
  <conditionalFormatting sqref="C40">
    <cfRule type="cellIs" dxfId="29" priority="32" operator="lessThanOrEqual">
      <formula>$A$83</formula>
    </cfRule>
  </conditionalFormatting>
  <conditionalFormatting sqref="B38:B40">
    <cfRule type="cellIs" dxfId="28" priority="31" operator="lessThanOrEqual">
      <formula>$A$83</formula>
    </cfRule>
  </conditionalFormatting>
  <conditionalFormatting sqref="C46">
    <cfRule type="cellIs" dxfId="27" priority="30" operator="lessThanOrEqual">
      <formula>$A$83</formula>
    </cfRule>
  </conditionalFormatting>
  <conditionalFormatting sqref="C47">
    <cfRule type="cellIs" dxfId="26" priority="29" operator="lessThanOrEqual">
      <formula>$A$83</formula>
    </cfRule>
  </conditionalFormatting>
  <conditionalFormatting sqref="C48">
    <cfRule type="cellIs" dxfId="25" priority="28" operator="lessThanOrEqual">
      <formula>$A$83</formula>
    </cfRule>
  </conditionalFormatting>
  <conditionalFormatting sqref="B46:B48">
    <cfRule type="cellIs" dxfId="24" priority="27" operator="lessThanOrEqual">
      <formula>$A$83</formula>
    </cfRule>
  </conditionalFormatting>
  <conditionalFormatting sqref="C49">
    <cfRule type="cellIs" dxfId="23" priority="26" operator="lessThanOrEqual">
      <formula>$A$83</formula>
    </cfRule>
  </conditionalFormatting>
  <conditionalFormatting sqref="C54">
    <cfRule type="cellIs" dxfId="22" priority="25" operator="lessThanOrEqual">
      <formula>$A$83</formula>
    </cfRule>
  </conditionalFormatting>
  <conditionalFormatting sqref="C55">
    <cfRule type="cellIs" dxfId="21" priority="24" operator="lessThanOrEqual">
      <formula>$A$83</formula>
    </cfRule>
  </conditionalFormatting>
  <conditionalFormatting sqref="C56">
    <cfRule type="cellIs" dxfId="20" priority="23" operator="lessThanOrEqual">
      <formula>$A$83</formula>
    </cfRule>
  </conditionalFormatting>
  <conditionalFormatting sqref="B54:B56">
    <cfRule type="cellIs" dxfId="19" priority="22" operator="lessThanOrEqual">
      <formula>$A$83</formula>
    </cfRule>
  </conditionalFormatting>
  <conditionalFormatting sqref="C57">
    <cfRule type="cellIs" dxfId="18" priority="21" operator="lessThanOrEqual">
      <formula>$A$83</formula>
    </cfRule>
  </conditionalFormatting>
  <conditionalFormatting sqref="C67">
    <cfRule type="cellIs" dxfId="17" priority="20" operator="lessThanOrEqual">
      <formula>$A$83</formula>
    </cfRule>
  </conditionalFormatting>
  <conditionalFormatting sqref="C18">
    <cfRule type="cellIs" dxfId="16" priority="18" operator="lessThanOrEqual">
      <formula>$A$83</formula>
    </cfRule>
  </conditionalFormatting>
  <conditionalFormatting sqref="B19:B20">
    <cfRule type="cellIs" dxfId="15" priority="17" operator="lessThanOrEqual">
      <formula>$A$83</formula>
    </cfRule>
  </conditionalFormatting>
  <conditionalFormatting sqref="C19:C20">
    <cfRule type="cellIs" dxfId="14" priority="16" operator="lessThanOrEqual">
      <formula>$A$83</formula>
    </cfRule>
  </conditionalFormatting>
  <conditionalFormatting sqref="C22">
    <cfRule type="cellIs" dxfId="13" priority="14" operator="lessThanOrEqual">
      <formula>$A$83</formula>
    </cfRule>
  </conditionalFormatting>
  <conditionalFormatting sqref="C31">
    <cfRule type="cellIs" dxfId="12" priority="13" operator="lessThanOrEqual">
      <formula>$A$83</formula>
    </cfRule>
  </conditionalFormatting>
  <conditionalFormatting sqref="C58">
    <cfRule type="cellIs" dxfId="11" priority="12" operator="lessThanOrEqual">
      <formula>$A$83</formula>
    </cfRule>
  </conditionalFormatting>
  <conditionalFormatting sqref="C65">
    <cfRule type="cellIs" dxfId="10" priority="11" operator="lessThanOrEqual">
      <formula>$A$83</formula>
    </cfRule>
  </conditionalFormatting>
  <conditionalFormatting sqref="C59">
    <cfRule type="cellIs" dxfId="9" priority="10" operator="lessThanOrEqual">
      <formula>$A$83</formula>
    </cfRule>
  </conditionalFormatting>
  <conditionalFormatting sqref="C60">
    <cfRule type="cellIs" dxfId="8" priority="9" operator="lessThanOrEqual">
      <formula>$A$83</formula>
    </cfRule>
  </conditionalFormatting>
  <conditionalFormatting sqref="C61">
    <cfRule type="cellIs" dxfId="7" priority="8" operator="lessThanOrEqual">
      <formula>$A$83</formula>
    </cfRule>
  </conditionalFormatting>
  <conditionalFormatting sqref="B59:B61">
    <cfRule type="cellIs" dxfId="6" priority="7" operator="lessThanOrEqual">
      <formula>$A$83</formula>
    </cfRule>
  </conditionalFormatting>
  <conditionalFormatting sqref="C62">
    <cfRule type="cellIs" dxfId="5" priority="6" operator="lessThanOrEqual">
      <formula>$A$83</formula>
    </cfRule>
  </conditionalFormatting>
  <conditionalFormatting sqref="C63">
    <cfRule type="cellIs" dxfId="4" priority="5" operator="lessThanOrEqual">
      <formula>$A$83</formula>
    </cfRule>
  </conditionalFormatting>
  <conditionalFormatting sqref="C64">
    <cfRule type="cellIs" dxfId="3" priority="4" operator="lessThanOrEqual">
      <formula>$A$83</formula>
    </cfRule>
  </conditionalFormatting>
  <conditionalFormatting sqref="B62:B64">
    <cfRule type="cellIs" dxfId="2" priority="3" operator="lessThanOrEqual">
      <formula>$A$83</formula>
    </cfRule>
  </conditionalFormatting>
  <conditionalFormatting sqref="C68">
    <cfRule type="cellIs" dxfId="1" priority="2" operator="lessThanOrEqual">
      <formula>$A$83</formula>
    </cfRule>
  </conditionalFormatting>
  <conditionalFormatting sqref="C69">
    <cfRule type="cellIs" dxfId="0" priority="1" operator="lessThanOrEqual">
      <formula>$A$83</formula>
    </cfRule>
  </conditionalFormatting>
  <pageMargins left="0.51181102362204722" right="0.51181102362204722" top="0.94488188976377963" bottom="0.74803149606299213" header="0.31496062992125984" footer="0.31496062992125984"/>
  <pageSetup paperSize="9" scale="71" orientation="landscape" r:id="rId1"/>
  <headerFooter>
    <oddFooter>&amp;L&amp;8I AA Bauphasen- und Bauzustandsplanung
Revision 1.0 vom 27.05.2022&amp;C&amp;8&amp;P / &amp;N&amp;R&amp;8Anlage 02.1 Terminrechner_Baubetrieb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1CBAB2D65CD2479459D4094F66740C" ma:contentTypeVersion="42" ma:contentTypeDescription="Ein neues Dokument erstellen." ma:contentTypeScope="" ma:versionID="aae6c453223ddd4648e5b111edfbabc2">
  <xsd:schema xmlns:xsd="http://www.w3.org/2001/XMLSchema" xmlns:xs="http://www.w3.org/2001/XMLSchema" xmlns:p="http://schemas.microsoft.com/office/2006/metadata/properties" xmlns:ns1="http://schemas.microsoft.com/sharepoint/v3" xmlns:ns2="0d873fc9-7bd9-42fb-882a-b8066a95807f" xmlns:ns3="181d1baa-00ec-482f-8be2-d85c2901ada1" xmlns:ns4="abb97f98-f44b-4d9d-8153-c278f435c9ab" xmlns:ns5="http://schemas.microsoft.com/sharepoint/v4" xmlns:ns6="56069a14-9133-4545-b456-b8e562b79784" xmlns:ns7="8ccf0a4d-06e2-4eea-8ac8-a41d24c49871" targetNamespace="http://schemas.microsoft.com/office/2006/metadata/properties" ma:root="true" ma:fieldsID="4995d3b508ae2b317114980e76997a08" ns1:_="" ns2:_="" ns3:_="" ns4:_="" ns5:_="" ns6:_="" ns7:_="">
    <xsd:import namespace="http://schemas.microsoft.com/sharepoint/v3"/>
    <xsd:import namespace="0d873fc9-7bd9-42fb-882a-b8066a95807f"/>
    <xsd:import namespace="181d1baa-00ec-482f-8be2-d85c2901ada1"/>
    <xsd:import namespace="abb97f98-f44b-4d9d-8153-c278f435c9ab"/>
    <xsd:import namespace="http://schemas.microsoft.com/sharepoint/v4"/>
    <xsd:import namespace="56069a14-9133-4545-b456-b8e562b79784"/>
    <xsd:import namespace="8ccf0a4d-06e2-4eea-8ac8-a41d24c498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4:TaxCatchAll" minOccurs="0"/>
                <xsd:element ref="ns2:Aktualit_x00e4_t" minOccurs="0"/>
                <xsd:element ref="ns2:g8cd84f6fb3c449d81529b098a704b68" minOccurs="0"/>
                <xsd:element ref="ns4:Mitwirkende" minOccurs="0"/>
                <xsd:element ref="ns1:DocumentSetDescription" minOccurs="0"/>
                <xsd:element ref="ns4:Inhaber" minOccurs="0"/>
                <xsd:element ref="ns5:IconOverlay" minOccurs="0"/>
                <xsd:element ref="ns6:MediaServiceDateTaken" minOccurs="0"/>
                <xsd:element ref="ns6:MediaServiceAutoTags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6:MediaServiceLocation" minOccurs="0"/>
                <xsd:element ref="ns7:MediaServiceAutoKeyPoints" minOccurs="0"/>
                <xsd:element ref="ns7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17" nillable="true" ma:displayName="Beschreibung" ma:description="Eine Beschreibung der Dokumentenmappe" ma:hidden="true" ma:internalName="DocumentSetDescription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73fc9-7bd9-42fb-882a-b8066a9580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ktualit_x00e4_t" ma:index="13" nillable="true" ma:displayName="Aktualität" ma:format="Dropdown" ma:internalName="Aktualit_x00e4_t" ma:readOnly="false">
      <xsd:simpleType>
        <xsd:restriction base="dms:Choice">
          <xsd:enumeration value="in Bearbeitung"/>
          <xsd:enumeration value="Final"/>
          <xsd:enumeration value="Laufend"/>
          <xsd:enumeration value="Archivieren"/>
        </xsd:restriction>
      </xsd:simpleType>
    </xsd:element>
    <xsd:element name="g8cd84f6fb3c449d81529b098a704b68" ma:index="15" nillable="true" ma:taxonomy="true" ma:internalName="g8cd84f6fb3c449d81529b098a704b68" ma:taxonomyFieldName="Inhalte" ma:displayName="Inhalte" ma:readOnly="false" ma:default="" ma:fieldId="{08cd84f6-fb3c-449d-8152-9b098a704b68}" ma:taxonomyMulti="true" ma:sspId="f80f6d38-43b1-4def-ac06-3ce7426a3aa7" ma:termSetId="b2746ebe-43ce-47f7-b115-286c6171c68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1d1baa-00ec-482f-8be2-d85c2901ada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97f98-f44b-4d9d-8153-c278f435c9a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2b109c1-896c-47a7-930f-8882fa6f2a7b}" ma:internalName="TaxCatchAll" ma:showField="CatchAllData" ma:web="abb97f98-f44b-4d9d-8153-c278f435c9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twirkende" ma:index="16" nillable="true" ma:displayName="Mitwirkende" ma:list="UserInfo" ma:SharePointGroup="0" ma:internalName="Mitwirkende" ma:readOnly="false" ma:showField="EMai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haber" ma:index="18" nillable="true" ma:displayName="Inhaber" ma:indexed="true" ma:list="UserInfo" ma:SharePointGroup="0" ma:internalName="Inhaber" ma:readOnly="false" ma:showField="EMail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069a14-9133-4545-b456-b8e562b79784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cf0a4d-06e2-4eea-8ac8-a41d24c49871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2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8cd84f6fb3c449d81529b098a704b68 xmlns="0d873fc9-7bd9-42fb-882a-b8066a95807f">
      <Terms xmlns="http://schemas.microsoft.com/office/infopath/2007/PartnerControls"/>
    </g8cd84f6fb3c449d81529b098a704b68>
    <IconOverlay xmlns="http://schemas.microsoft.com/sharepoint/v4" xsi:nil="true"/>
    <DocumentSetDescription xmlns="http://schemas.microsoft.com/sharepoint/v3" xsi:nil="true"/>
    <Inhaber xmlns="abb97f98-f44b-4d9d-8153-c278f435c9ab">
      <UserInfo>
        <DisplayName/>
        <AccountId xsi:nil="true"/>
        <AccountType/>
      </UserInfo>
    </Inhaber>
    <TaxCatchAll xmlns="abb97f98-f44b-4d9d-8153-c278f435c9ab" xsi:nil="true"/>
    <Aktualit_x00e4_t xmlns="0d873fc9-7bd9-42fb-882a-b8066a95807f" xsi:nil="true"/>
    <Mitwirkende xmlns="abb97f98-f44b-4d9d-8153-c278f435c9ab">
      <UserInfo>
        <DisplayName/>
        <AccountId xsi:nil="true"/>
        <AccountType/>
      </UserInfo>
    </Mitwirkende>
  </documentManagement>
</p:properties>
</file>

<file path=customXml/itemProps1.xml><?xml version="1.0" encoding="utf-8"?>
<ds:datastoreItem xmlns:ds="http://schemas.openxmlformats.org/officeDocument/2006/customXml" ds:itemID="{6D9BAF85-D89B-4EB8-BDA1-4653C8A002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FC4924-145D-4DF7-AE55-24B69BCFBD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d873fc9-7bd9-42fb-882a-b8066a95807f"/>
    <ds:schemaRef ds:uri="181d1baa-00ec-482f-8be2-d85c2901ada1"/>
    <ds:schemaRef ds:uri="abb97f98-f44b-4d9d-8153-c278f435c9ab"/>
    <ds:schemaRef ds:uri="http://schemas.microsoft.com/sharepoint/v4"/>
    <ds:schemaRef ds:uri="56069a14-9133-4545-b456-b8e562b79784"/>
    <ds:schemaRef ds:uri="8ccf0a4d-06e2-4eea-8ac8-a41d24c498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2C0FE9-00FA-467F-8212-2763EED27004}">
  <ds:schemaRefs>
    <ds:schemaRef ds:uri="http://schemas.microsoft.com/office/2006/metadata/properties"/>
    <ds:schemaRef ds:uri="d198ea74-30aa-4536-94fc-207415cee56b"/>
    <ds:schemaRef ds:uri="10a8417e-9eb6-4595-acfa-9a7bf9b1d412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0d873fc9-7bd9-42fb-882a-b8066a95807f"/>
    <ds:schemaRef ds:uri="http://schemas.microsoft.com/sharepoint/v4"/>
    <ds:schemaRef ds:uri="http://schemas.microsoft.com/sharepoint/v3"/>
    <ds:schemaRef ds:uri="abb97f98-f44b-4d9d-8153-c278f435c9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Michel, Steffen</dc:creator>
  <cp:lastModifiedBy>Susanne Haase</cp:lastModifiedBy>
  <cp:lastPrinted>2022-02-18T15:51:52Z</cp:lastPrinted>
  <dcterms:created xsi:type="dcterms:W3CDTF">2019-01-02T14:45:51Z</dcterms:created>
  <dcterms:modified xsi:type="dcterms:W3CDTF">2022-04-29T08:08:18Z</dcterms:modified>
  <cp:contentStatus>Entwurf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0x010100131CBAB2D65CD2479459D4094F66740C</vt:lpwstr>
  </property>
  <property fmtid="{D5CDD505-2E9C-101B-9397-08002B2CF9AE}" pid="3" name="Prozess">
    <vt:lpwstr/>
  </property>
  <property fmtid="{D5CDD505-2E9C-101B-9397-08002B2CF9AE}" pid="4" name="Inhalte">
    <vt:lpwstr/>
  </property>
</Properties>
</file>